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https://moneyveo365-my.sharepoint.com/personal/ivan_tarantaiev_moneyveo_ua/Documents/Desktop/Документи по роботі/МАНІВЕО/Документи на сайтах/21.05.2026 Збільшення комісії ФЛЕШ розділення продуктів/"/>
    </mc:Choice>
  </mc:AlternateContent>
  <xr:revisionPtr revIDLastSave="274" documentId="13_ncr:1_{CDBC774F-7DA1-4888-9F4B-715DD102F301}" xr6:coauthVersionLast="47" xr6:coauthVersionMax="47" xr10:uidLastSave="{50458282-418F-4BFC-8378-DB58B577A14D}"/>
  <workbookProtection workbookAlgorithmName="SHA-512" workbookHashValue="5HU97uavxq+cZuJcaef9o7//WdB1V5+9SfH01Qk/Oh7FHvxL0eH6ZFOAgdvPIdgaEucppPMqXc/BHvFrrgA36w==" workbookSaltValue="jXlZmgkgnGEPxTSWvCjCJA==" workbookSpinCount="100000" lockStructure="1"/>
  <bookViews>
    <workbookView xWindow="-108" yWindow="-108" windowWidth="23256" windowHeight="12456" xr2:uid="{AC32BD25-6EB4-4922-9F23-AF080C0D31DD}"/>
  </bookViews>
  <sheets>
    <sheet name="Калькулятор" sheetId="14" r:id="rId1"/>
  </sheets>
  <definedNames>
    <definedName name="_xlnm.Print_Area" localSheetId="0">Калькулятор!$A$1:$R$54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14" l="1"/>
  <c r="E10" i="14"/>
  <c r="E14" i="14" l="1"/>
  <c r="D23" i="14" l="1"/>
  <c r="E7" i="14" l="1"/>
  <c r="B23" i="14" l="1"/>
  <c r="B24" i="14" l="1"/>
  <c r="C24" i="14" s="1"/>
  <c r="B28" i="14"/>
  <c r="B27" i="14"/>
  <c r="B29" i="14"/>
  <c r="B25" i="14"/>
  <c r="B26" i="14"/>
  <c r="C25" i="14" l="1"/>
  <c r="C26" i="14" l="1"/>
  <c r="C27" i="14" s="1"/>
  <c r="C28" i="14" l="1"/>
  <c r="C29" i="14" s="1"/>
  <c r="C30" i="14" l="1"/>
  <c r="E11" i="14" l="1"/>
  <c r="H23" i="14"/>
  <c r="H30" i="14" s="1"/>
  <c r="E23" i="14"/>
  <c r="E8" i="14" s="1"/>
  <c r="T24" i="14" l="1"/>
  <c r="F24" i="14" s="1"/>
  <c r="E24" i="14" l="1"/>
  <c r="D24" i="14" s="1"/>
  <c r="T25" i="14" l="1"/>
  <c r="F25" i="14" s="1"/>
  <c r="E25" i="14" s="1"/>
  <c r="D25" i="14" s="1"/>
  <c r="T26" i="14" l="1"/>
  <c r="F26" i="14" s="1"/>
  <c r="E26" i="14" s="1"/>
  <c r="D26" i="14" s="1"/>
  <c r="T27" i="14" l="1"/>
  <c r="F27" i="14" s="1"/>
  <c r="E27" i="14" s="1"/>
  <c r="D27" i="14" s="1"/>
  <c r="T28" i="14" l="1"/>
  <c r="F28" i="14" s="1"/>
  <c r="E28" i="14" s="1"/>
  <c r="D28" i="14" s="1"/>
  <c r="T29" i="14" l="1"/>
  <c r="F29" i="14" s="1"/>
  <c r="F30" i="14" s="1"/>
  <c r="E15" i="14" s="1"/>
  <c r="E29" i="14" l="1"/>
  <c r="D29" i="14" s="1"/>
  <c r="E30" i="14" l="1"/>
  <c r="R30" i="14" s="1"/>
  <c r="E16" i="14" s="1"/>
  <c r="Q30" i="14"/>
  <c r="E13" i="14" s="1"/>
  <c r="D30" i="14" l="1"/>
</calcChain>
</file>

<file path=xl/sharedStrings.xml><?xml version="1.0" encoding="utf-8"?>
<sst xmlns="http://schemas.openxmlformats.org/spreadsheetml/2006/main" count="71" uniqueCount="46">
  <si>
    <t xml:space="preserve"> </t>
  </si>
  <si>
    <t>Дата отримання кредиту</t>
  </si>
  <si>
    <t xml:space="preserve">Строк користування кредитом, дні </t>
  </si>
  <si>
    <t>*</t>
  </si>
  <si>
    <t>Щомісячний ануїтетний платіж, грн</t>
  </si>
  <si>
    <t>Строк користування кредитом, міс/кількість платежів</t>
  </si>
  <si>
    <t>Реальна річна процентна ставка, % річних</t>
  </si>
  <si>
    <t>**</t>
  </si>
  <si>
    <t>Комісія за надання кредиту, грн</t>
  </si>
  <si>
    <t>***</t>
  </si>
  <si>
    <t xml:space="preserve">Загальні витрати за кредитом, грн </t>
  </si>
  <si>
    <t>Загальна вартість кредиту, грн</t>
  </si>
  <si>
    <t>№ з/п</t>
  </si>
  <si>
    <t>Дата видачі кредиту/дата платежу</t>
  </si>
  <si>
    <t>Кількість днів у розрахунковому періоді</t>
  </si>
  <si>
    <t>Чиста сума кредиту/сума платежу за розрахунковий період, грн.</t>
  </si>
  <si>
    <t>Види платежів за кредитом</t>
  </si>
  <si>
    <t xml:space="preserve">Реальна річна процентна ставка, % </t>
  </si>
  <si>
    <t>сума кредиту за договором /погашення суми кредиту</t>
  </si>
  <si>
    <t>проценти за користування кредитом</t>
  </si>
  <si>
    <t>кредитодавця</t>
  </si>
  <si>
    <t>кредитного посередника (за наявності)</t>
  </si>
  <si>
    <t>третіх осіб</t>
  </si>
  <si>
    <t>за обслуговування кредитної заборгованості</t>
  </si>
  <si>
    <t>комісія за надання кредиту</t>
  </si>
  <si>
    <t>комісійний збір</t>
  </si>
  <si>
    <t>розрахунково-касове обслуговування</t>
  </si>
  <si>
    <t>послуги нотаріуса</t>
  </si>
  <si>
    <t>послуги оцінювача</t>
  </si>
  <si>
    <t>послуги страховика</t>
  </si>
  <si>
    <t>х</t>
  </si>
  <si>
    <t>Усього</t>
  </si>
  <si>
    <t>* Сума кредиту з якої утримується комісія за надання кредиту;</t>
  </si>
  <si>
    <t xml:space="preserve">** За методикою Постанови НБУ від 11.02.2021  № 16; </t>
  </si>
  <si>
    <t>*** Комісія утримується з суми кредиту в день укладення договору.</t>
  </si>
  <si>
    <t>платежі за додаткові та/або супутні послуги</t>
  </si>
  <si>
    <t xml:space="preserve">Сума кредиту згідно договору, грн </t>
  </si>
  <si>
    <t xml:space="preserve">Процентна ставка, % в день </t>
  </si>
  <si>
    <t>Процентна ставка, % річних</t>
  </si>
  <si>
    <t xml:space="preserve">Бажана сума для отримання на карту (чиста сума кредиту), грн </t>
  </si>
  <si>
    <r>
      <t>інші послуги кредитодавця</t>
    </r>
    <r>
      <rPr>
        <vertAlign val="superscript"/>
        <sz val="12"/>
        <rFont val="Times New Roman"/>
        <family val="1"/>
        <charset val="204"/>
      </rPr>
      <t>1</t>
    </r>
  </si>
  <si>
    <r>
      <t>інша плата за послуги кредитного посередника</t>
    </r>
    <r>
      <rPr>
        <vertAlign val="superscript"/>
        <sz val="12"/>
        <rFont val="Times New Roman"/>
        <family val="1"/>
        <charset val="204"/>
      </rPr>
      <t>1</t>
    </r>
  </si>
  <si>
    <r>
      <t>інші послуги третіх осіб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</t>
    </r>
  </si>
  <si>
    <t xml:space="preserve">                 Ведіть бажану суму кредиту яка буде зарахован Вам на картку (в діапазоні від 2000 грн до 27 000 грн)</t>
  </si>
  <si>
    <r>
      <t xml:space="preserve">                                                                                                       </t>
    </r>
    <r>
      <rPr>
        <b/>
        <sz val="16"/>
        <rFont val="Calibri"/>
        <family val="2"/>
        <charset val="204"/>
        <scheme val="minor"/>
      </rPr>
      <t>КАЛЬКУЛЯТОР КРЕДИТНОГО ПРОДУКТУ "FLEX"</t>
    </r>
  </si>
  <si>
    <r>
      <t xml:space="preserve">                  </t>
    </r>
    <r>
      <rPr>
        <i/>
        <sz val="11"/>
        <rFont val="Calibri"/>
        <family val="2"/>
        <charset val="204"/>
        <scheme val="minor"/>
      </rPr>
      <t>Оберіть бажаний строк користування кредитом (місяців)/кількість платежів (в діапазоні від 3 до 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</si>
</sst>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3" fillId="0" borderId="0" applyFill="0" applyBorder="0" applyAlignment="0" applyProtection="0"/>
  </cellStyleXfs>
  <cellXfs count="63">
    <xf numFmtId="0" fontId="0" fillId="0" borderId="0" xfId="0"/>
    <xf numFmtId="0" fontId="4" fillId="0" borderId="0" xfId="0" applyFont="1" applyProtection="1"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7" fillId="0" borderId="0" xfId="0" applyFont="1" applyProtection="1">
      <protection hidden="1"/>
    </xf>
    <xf numFmtId="14" fontId="4" fillId="0" borderId="0" xfId="0" applyNumberFormat="1" applyFont="1" applyProtection="1">
      <protection hidden="1"/>
    </xf>
    <xf numFmtId="0" fontId="9" fillId="0" borderId="4" xfId="0" applyFont="1" applyBorder="1" applyProtection="1">
      <protection hidden="1"/>
    </xf>
    <xf numFmtId="0" fontId="9" fillId="0" borderId="0" xfId="0" applyFont="1" applyProtection="1">
      <protection hidden="1"/>
    </xf>
    <xf numFmtId="49" fontId="4" fillId="0" borderId="0" xfId="0" applyNumberFormat="1" applyFont="1" applyProtection="1">
      <protection hidden="1"/>
    </xf>
    <xf numFmtId="0" fontId="8" fillId="0" borderId="15" xfId="0" applyFont="1" applyBorder="1" applyProtection="1">
      <protection hidden="1"/>
    </xf>
    <xf numFmtId="0" fontId="4" fillId="0" borderId="5" xfId="0" applyFont="1" applyBorder="1" applyProtection="1"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left" vertical="center" textRotation="90" wrapText="1"/>
      <protection hidden="1"/>
    </xf>
    <xf numFmtId="14" fontId="10" fillId="0" borderId="1" xfId="0" applyNumberFormat="1" applyFont="1" applyBorder="1" applyAlignment="1" applyProtection="1">
      <alignment horizontal="center" vertical="center" wrapText="1"/>
      <protection hidden="1"/>
    </xf>
    <xf numFmtId="2" fontId="10" fillId="0" borderId="1" xfId="0" applyNumberFormat="1" applyFont="1" applyBorder="1" applyAlignment="1" applyProtection="1">
      <alignment horizontal="center" vertical="center" wrapText="1"/>
      <protection hidden="1"/>
    </xf>
    <xf numFmtId="2" fontId="12" fillId="0" borderId="1" xfId="0" applyNumberFormat="1" applyFont="1" applyBorder="1" applyAlignment="1" applyProtection="1">
      <alignment horizontal="center"/>
      <protection hidden="1"/>
    </xf>
    <xf numFmtId="0" fontId="10" fillId="0" borderId="1" xfId="0" applyFont="1" applyBorder="1" applyAlignment="1" applyProtection="1">
      <alignment horizontal="left" vertical="center" wrapText="1"/>
      <protection hidden="1"/>
    </xf>
    <xf numFmtId="2" fontId="13" fillId="0" borderId="1" xfId="0" applyNumberFormat="1" applyFont="1" applyBorder="1" applyAlignment="1" applyProtection="1">
      <alignment horizontal="center" vertical="center" wrapText="1"/>
      <protection hidden="1"/>
    </xf>
    <xf numFmtId="2" fontId="12" fillId="0" borderId="1" xfId="0" applyNumberFormat="1" applyFont="1" applyBorder="1" applyAlignment="1" applyProtection="1">
      <alignment horizontal="center" vertical="top" wrapText="1"/>
      <protection hidden="1"/>
    </xf>
    <xf numFmtId="10" fontId="10" fillId="0" borderId="1" xfId="0" applyNumberFormat="1" applyFont="1" applyBorder="1" applyAlignment="1" applyProtection="1">
      <alignment horizontal="center" vertical="center" wrapText="1"/>
      <protection hidden="1"/>
    </xf>
    <xf numFmtId="2" fontId="4" fillId="0" borderId="0" xfId="0" applyNumberFormat="1" applyFont="1" applyProtection="1">
      <protection hidden="1"/>
    </xf>
    <xf numFmtId="0" fontId="14" fillId="0" borderId="0" xfId="0" applyFont="1" applyProtection="1">
      <protection hidden="1"/>
    </xf>
    <xf numFmtId="2" fontId="14" fillId="0" borderId="0" xfId="0" applyNumberFormat="1" applyFont="1" applyProtection="1">
      <protection hidden="1"/>
    </xf>
    <xf numFmtId="14" fontId="14" fillId="0" borderId="0" xfId="0" applyNumberFormat="1" applyFont="1" applyProtection="1">
      <protection hidden="1"/>
    </xf>
    <xf numFmtId="0" fontId="10" fillId="0" borderId="1" xfId="0" applyFont="1" applyBorder="1" applyAlignment="1" applyProtection="1">
      <alignment horizontal="left" vertical="center" textRotation="90" wrapText="1"/>
      <protection hidden="1"/>
    </xf>
    <xf numFmtId="0" fontId="10" fillId="0" borderId="9" xfId="0" applyFont="1" applyBorder="1" applyAlignment="1" applyProtection="1">
      <alignment horizontal="left" vertical="center" textRotation="90" wrapText="1"/>
      <protection hidden="1"/>
    </xf>
    <xf numFmtId="0" fontId="10" fillId="0" borderId="10" xfId="0" applyFont="1" applyBorder="1" applyAlignment="1" applyProtection="1">
      <alignment horizontal="left" vertical="center" textRotation="90" wrapText="1"/>
      <protection hidden="1"/>
    </xf>
    <xf numFmtId="0" fontId="10" fillId="0" borderId="11" xfId="0" applyFont="1" applyBorder="1" applyAlignment="1" applyProtection="1">
      <alignment horizontal="left" vertical="center" textRotation="90"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10" fillId="0" borderId="6" xfId="0" applyFont="1" applyBorder="1" applyAlignment="1" applyProtection="1">
      <alignment horizontal="center" vertical="center" wrapText="1"/>
      <protection hidden="1"/>
    </xf>
    <xf numFmtId="0" fontId="10" fillId="0" borderId="7" xfId="0" applyFont="1" applyBorder="1" applyAlignment="1" applyProtection="1">
      <alignment horizontal="center" vertical="center" wrapText="1"/>
      <protection hidden="1"/>
    </xf>
    <xf numFmtId="0" fontId="10" fillId="0" borderId="8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0" borderId="5" xfId="0" applyFont="1" applyBorder="1" applyAlignment="1" applyProtection="1">
      <alignment horizontal="left"/>
      <protection hidden="1"/>
    </xf>
    <xf numFmtId="0" fontId="4" fillId="0" borderId="12" xfId="0" applyFont="1" applyBorder="1" applyAlignment="1" applyProtection="1">
      <alignment horizontal="center"/>
      <protection locked="0" hidden="1"/>
    </xf>
    <xf numFmtId="0" fontId="4" fillId="0" borderId="13" xfId="0" applyFont="1" applyBorder="1" applyAlignment="1" applyProtection="1">
      <alignment horizontal="center"/>
      <protection locked="0" hidden="1"/>
    </xf>
    <xf numFmtId="0" fontId="10" fillId="0" borderId="11" xfId="0" applyFont="1" applyBorder="1" applyAlignment="1" applyProtection="1">
      <alignment horizontal="center" vertical="center" textRotation="90" wrapText="1"/>
      <protection hidden="1"/>
    </xf>
    <xf numFmtId="0" fontId="10" fillId="0" borderId="1" xfId="0" applyFont="1" applyBorder="1" applyAlignment="1" applyProtection="1">
      <alignment horizontal="center" vertical="center" textRotation="90" wrapText="1"/>
      <protection hidden="1"/>
    </xf>
    <xf numFmtId="0" fontId="10" fillId="0" borderId="11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left"/>
      <protection hidden="1"/>
    </xf>
    <xf numFmtId="0" fontId="8" fillId="0" borderId="14" xfId="0" applyFont="1" applyBorder="1" applyAlignment="1" applyProtection="1">
      <alignment horizontal="left"/>
      <protection hidden="1"/>
    </xf>
    <xf numFmtId="0" fontId="8" fillId="0" borderId="3" xfId="0" applyFont="1" applyBorder="1" applyAlignment="1" applyProtection="1">
      <alignment horizontal="left"/>
      <protection hidden="1"/>
    </xf>
    <xf numFmtId="2" fontId="4" fillId="0" borderId="12" xfId="0" applyNumberFormat="1" applyFont="1" applyBorder="1" applyAlignment="1" applyProtection="1">
      <alignment horizontal="center"/>
      <protection hidden="1"/>
    </xf>
    <xf numFmtId="2" fontId="4" fillId="0" borderId="13" xfId="0" applyNumberFormat="1" applyFont="1" applyBorder="1" applyAlignment="1" applyProtection="1">
      <alignment horizontal="center"/>
      <protection hidden="1"/>
    </xf>
    <xf numFmtId="0" fontId="4" fillId="0" borderId="13" xfId="0" applyFont="1" applyBorder="1" applyAlignment="1" applyProtection="1">
      <alignment horizontal="center"/>
      <protection hidden="1"/>
    </xf>
    <xf numFmtId="10" fontId="4" fillId="0" borderId="2" xfId="0" applyNumberFormat="1" applyFont="1" applyBorder="1" applyAlignment="1" applyProtection="1">
      <alignment horizontal="center"/>
      <protection hidden="1"/>
    </xf>
    <xf numFmtId="10" fontId="4" fillId="0" borderId="3" xfId="0" applyNumberFormat="1" applyFont="1" applyBorder="1" applyAlignment="1" applyProtection="1">
      <alignment horizontal="center"/>
      <protection hidden="1"/>
    </xf>
    <xf numFmtId="0" fontId="4" fillId="0" borderId="2" xfId="0" applyFont="1" applyBorder="1" applyAlignment="1" applyProtection="1">
      <alignment horizontal="center" vertical="top" wrapText="1"/>
      <protection hidden="1"/>
    </xf>
    <xf numFmtId="0" fontId="4" fillId="0" borderId="3" xfId="0" applyFont="1" applyBorder="1" applyAlignment="1" applyProtection="1">
      <alignment horizontal="center" vertical="top" wrapText="1"/>
      <protection hidden="1"/>
    </xf>
    <xf numFmtId="2" fontId="4" fillId="0" borderId="2" xfId="0" applyNumberFormat="1" applyFont="1" applyBorder="1" applyAlignment="1" applyProtection="1">
      <alignment horizontal="center"/>
      <protection hidden="1"/>
    </xf>
    <xf numFmtId="2" fontId="4" fillId="0" borderId="3" xfId="0" applyNumberFormat="1" applyFont="1" applyBorder="1" applyAlignment="1" applyProtection="1">
      <alignment horizontal="center"/>
      <protection hidden="1"/>
    </xf>
    <xf numFmtId="0" fontId="4" fillId="0" borderId="2" xfId="0" applyFont="1" applyBorder="1" applyAlignment="1" applyProtection="1">
      <alignment horizontal="center"/>
      <protection hidden="1"/>
    </xf>
    <xf numFmtId="0" fontId="4" fillId="0" borderId="3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14" fontId="4" fillId="0" borderId="2" xfId="0" applyNumberFormat="1" applyFont="1" applyBorder="1" applyAlignment="1" applyProtection="1">
      <alignment horizontal="center"/>
      <protection hidden="1"/>
    </xf>
    <xf numFmtId="2" fontId="4" fillId="2" borderId="2" xfId="0" applyNumberFormat="1" applyFont="1" applyFill="1" applyBorder="1" applyAlignment="1" applyProtection="1">
      <alignment horizontal="center"/>
      <protection locked="0" hidden="1"/>
    </xf>
    <xf numFmtId="2" fontId="4" fillId="2" borderId="3" xfId="0" applyNumberFormat="1" applyFont="1" applyFill="1" applyBorder="1" applyAlignment="1" applyProtection="1">
      <alignment horizontal="center"/>
      <protection locked="0"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2" fontId="4" fillId="2" borderId="2" xfId="0" applyNumberFormat="1" applyFont="1" applyFill="1" applyBorder="1" applyAlignment="1" applyProtection="1">
      <alignment horizontal="center"/>
      <protection hidden="1"/>
    </xf>
    <xf numFmtId="0" fontId="9" fillId="0" borderId="4" xfId="0" applyFont="1" applyBorder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hidden="1"/>
    </xf>
  </cellXfs>
  <cellStyles count="4">
    <cellStyle name="Percent 2" xfId="3" xr:uid="{2880EBFC-4B93-40EA-821E-4ABF9FD6250F}"/>
    <cellStyle name="Обычный" xfId="0" builtinId="0"/>
    <cellStyle name="Обычный 2" xfId="2" xr:uid="{9A9FB63A-1CB2-46A5-8D4C-3C9F0941B283}"/>
    <cellStyle name="Процентный 2" xfId="1" xr:uid="{20322293-F13C-497A-B05D-BDE8E45BB2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40105</xdr:colOff>
      <xdr:row>5</xdr:row>
      <xdr:rowOff>70185</xdr:rowOff>
    </xdr:from>
    <xdr:to>
      <xdr:col>6</xdr:col>
      <xdr:colOff>402055</xdr:colOff>
      <xdr:row>5</xdr:row>
      <xdr:rowOff>117810</xdr:rowOff>
    </xdr:to>
    <xdr:sp macro="" textlink="">
      <xdr:nvSpPr>
        <xdr:cNvPr id="3" name="Стрелка вправо 2">
          <a:extLst>
            <a:ext uri="{FF2B5EF4-FFF2-40B4-BE49-F238E27FC236}">
              <a16:creationId xmlns:a16="http://schemas.microsoft.com/office/drawing/2014/main" id="{4A28AFC8-9D52-4C2A-A4C9-1E9AC08A3D27}"/>
            </a:ext>
          </a:extLst>
        </xdr:cNvPr>
        <xdr:cNvSpPr/>
      </xdr:nvSpPr>
      <xdr:spPr>
        <a:xfrm rot="10800000">
          <a:off x="4963026" y="1303422"/>
          <a:ext cx="361950" cy="476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70184</xdr:colOff>
      <xdr:row>11</xdr:row>
      <xdr:rowOff>80210</xdr:rowOff>
    </xdr:from>
    <xdr:to>
      <xdr:col>6</xdr:col>
      <xdr:colOff>432134</xdr:colOff>
      <xdr:row>11</xdr:row>
      <xdr:rowOff>127835</xdr:rowOff>
    </xdr:to>
    <xdr:sp macro="" textlink="">
      <xdr:nvSpPr>
        <xdr:cNvPr id="5" name="Стрелка вправо 2">
          <a:extLst>
            <a:ext uri="{FF2B5EF4-FFF2-40B4-BE49-F238E27FC236}">
              <a16:creationId xmlns:a16="http://schemas.microsoft.com/office/drawing/2014/main" id="{0B95C2EB-4324-4A5B-A500-2D1913A24634}"/>
            </a:ext>
          </a:extLst>
        </xdr:cNvPr>
        <xdr:cNvSpPr/>
      </xdr:nvSpPr>
      <xdr:spPr>
        <a:xfrm rot="10800000">
          <a:off x="4993105" y="2496552"/>
          <a:ext cx="361950" cy="476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0</xdr:col>
      <xdr:colOff>130629</xdr:colOff>
      <xdr:row>0</xdr:row>
      <xdr:rowOff>1</xdr:rowOff>
    </xdr:from>
    <xdr:to>
      <xdr:col>2</xdr:col>
      <xdr:colOff>457200</xdr:colOff>
      <xdr:row>3</xdr:row>
      <xdr:rowOff>88093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8924933-1EF1-4C09-A845-053CF5D5D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9" y="1"/>
          <a:ext cx="2041071" cy="89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5DD9D-BE91-4A0F-B657-93679C6B7A98}">
  <dimension ref="A2:AT54"/>
  <sheetViews>
    <sheetView tabSelected="1" zoomScale="85" zoomScaleNormal="85" zoomScaleSheetLayoutView="70" workbookViewId="0">
      <selection activeCell="U21" sqref="U21"/>
    </sheetView>
  </sheetViews>
  <sheetFormatPr defaultColWidth="8.88671875" defaultRowHeight="14.4" x14ac:dyDescent="0.3"/>
  <cols>
    <col min="1" max="1" width="8.88671875" style="1"/>
    <col min="2" max="2" width="16.109375" style="1" customWidth="1"/>
    <col min="3" max="3" width="17.109375" style="1" customWidth="1"/>
    <col min="4" max="4" width="17.33203125" style="1" customWidth="1"/>
    <col min="5" max="5" width="13.44140625" style="1" customWidth="1"/>
    <col min="6" max="6" width="12.6640625" style="1" bestFit="1" customWidth="1"/>
    <col min="7" max="7" width="10.6640625" style="1" customWidth="1"/>
    <col min="8" max="8" width="10.109375" style="1" bestFit="1" customWidth="1"/>
    <col min="9" max="16" width="8.88671875" style="1" customWidth="1"/>
    <col min="17" max="17" width="14.88671875" style="1" customWidth="1"/>
    <col min="18" max="18" width="14" style="1" customWidth="1"/>
    <col min="19" max="19" width="8.88671875" style="21"/>
    <col min="20" max="20" width="26.88671875" style="21" customWidth="1"/>
    <col min="21" max="21" width="17.21875" style="21" bestFit="1" customWidth="1"/>
    <col min="22" max="22" width="10.109375" style="21" customWidth="1"/>
    <col min="23" max="23" width="10.109375" style="21" bestFit="1" customWidth="1"/>
    <col min="24" max="24" width="8.88671875" style="21"/>
    <col min="25" max="25" width="0" style="1" hidden="1" customWidth="1"/>
    <col min="26" max="26" width="10" style="1" customWidth="1"/>
    <col min="27" max="34" width="0" style="1" hidden="1" customWidth="1"/>
    <col min="35" max="35" width="11.6640625" style="1" hidden="1" customWidth="1"/>
    <col min="36" max="36" width="13.44140625" style="1" hidden="1" customWidth="1"/>
    <col min="37" max="38" width="13.44140625" style="1" customWidth="1"/>
    <col min="39" max="16384" width="8.88671875" style="1"/>
  </cols>
  <sheetData>
    <row r="2" spans="1:15" x14ac:dyDescent="0.3">
      <c r="A2" s="54"/>
      <c r="B2" s="54"/>
      <c r="C2" s="54"/>
      <c r="D2" s="54"/>
      <c r="E2" s="54"/>
    </row>
    <row r="3" spans="1:15" ht="35.25" customHeight="1" x14ac:dyDescent="0.3">
      <c r="A3" s="54"/>
      <c r="B3" s="54"/>
      <c r="C3" s="54"/>
      <c r="D3" s="54"/>
      <c r="E3" s="54"/>
      <c r="G3" s="2" t="s">
        <v>44</v>
      </c>
      <c r="H3" s="2"/>
      <c r="I3" s="2"/>
      <c r="J3" s="2"/>
      <c r="K3" s="2"/>
      <c r="L3" s="2"/>
      <c r="M3" s="3"/>
    </row>
    <row r="4" spans="1:15" ht="15" thickBot="1" x14ac:dyDescent="0.35">
      <c r="L4" s="4" t="s">
        <v>0</v>
      </c>
      <c r="M4" s="1" t="s">
        <v>0</v>
      </c>
    </row>
    <row r="5" spans="1:15" ht="15" thickBot="1" x14ac:dyDescent="0.35">
      <c r="A5" s="40" t="s">
        <v>1</v>
      </c>
      <c r="B5" s="41"/>
      <c r="C5" s="41"/>
      <c r="D5" s="42"/>
      <c r="E5" s="55">
        <f ca="1">TODAY()</f>
        <v>46164</v>
      </c>
      <c r="F5" s="53"/>
      <c r="H5" s="5"/>
    </row>
    <row r="6" spans="1:15" ht="15" thickBot="1" x14ac:dyDescent="0.35">
      <c r="A6" s="40" t="s">
        <v>39</v>
      </c>
      <c r="B6" s="41"/>
      <c r="C6" s="41"/>
      <c r="D6" s="42"/>
      <c r="E6" s="56">
        <v>7520</v>
      </c>
      <c r="F6" s="57"/>
      <c r="G6" s="6" t="s">
        <v>43</v>
      </c>
      <c r="H6" s="7"/>
      <c r="I6" s="7"/>
      <c r="J6" s="7"/>
      <c r="K6" s="7"/>
      <c r="L6" s="7"/>
      <c r="M6" s="7"/>
      <c r="N6" s="7"/>
      <c r="O6" s="7"/>
    </row>
    <row r="7" spans="1:15" ht="15" thickBot="1" x14ac:dyDescent="0.35">
      <c r="A7" s="32" t="s">
        <v>2</v>
      </c>
      <c r="B7" s="33"/>
      <c r="C7" s="33"/>
      <c r="D7" s="34"/>
      <c r="E7" s="58">
        <f ca="1">_xlfn.DAYS(EDATE(E5,E12),E5)</f>
        <v>184</v>
      </c>
      <c r="F7" s="59"/>
      <c r="L7" s="1" t="s">
        <v>0</v>
      </c>
      <c r="M7" s="1" t="s">
        <v>0</v>
      </c>
    </row>
    <row r="8" spans="1:15" ht="15" thickBot="1" x14ac:dyDescent="0.35">
      <c r="A8" s="40" t="s">
        <v>36</v>
      </c>
      <c r="B8" s="41"/>
      <c r="C8" s="41"/>
      <c r="D8" s="42"/>
      <c r="E8" s="60">
        <f>E23*-1</f>
        <v>9776</v>
      </c>
      <c r="F8" s="59"/>
      <c r="G8" s="61" t="s">
        <v>3</v>
      </c>
      <c r="H8" s="62"/>
      <c r="I8" s="62"/>
      <c r="J8" s="62"/>
      <c r="K8" s="62"/>
      <c r="L8" s="62"/>
      <c r="M8" s="62"/>
      <c r="N8" s="62"/>
      <c r="O8" s="62"/>
    </row>
    <row r="9" spans="1:15" ht="15" thickBot="1" x14ac:dyDescent="0.35">
      <c r="A9" s="40" t="s">
        <v>37</v>
      </c>
      <c r="B9" s="41"/>
      <c r="C9" s="41"/>
      <c r="D9" s="42"/>
      <c r="E9" s="52">
        <v>0.33</v>
      </c>
      <c r="F9" s="53"/>
    </row>
    <row r="10" spans="1:15" ht="15" thickBot="1" x14ac:dyDescent="0.35">
      <c r="A10" s="40" t="s">
        <v>38</v>
      </c>
      <c r="B10" s="41"/>
      <c r="C10" s="41"/>
      <c r="D10" s="42"/>
      <c r="E10" s="48">
        <f>E9*365</f>
        <v>120.45</v>
      </c>
      <c r="F10" s="49"/>
      <c r="G10" s="1" t="s">
        <v>0</v>
      </c>
      <c r="H10" s="1" t="s">
        <v>0</v>
      </c>
      <c r="K10" s="1" t="s">
        <v>0</v>
      </c>
    </row>
    <row r="11" spans="1:15" ht="14.4" customHeight="1" thickBot="1" x14ac:dyDescent="0.35">
      <c r="A11" s="40" t="s">
        <v>4</v>
      </c>
      <c r="B11" s="41"/>
      <c r="C11" s="41"/>
      <c r="D11" s="42"/>
      <c r="E11" s="50">
        <f ca="1" xml:space="preserve"> PMT(E9%*E7/E12,E12,E6+E14)*-1</f>
        <v>2252.5410132607904</v>
      </c>
      <c r="F11" s="51"/>
    </row>
    <row r="12" spans="1:15" ht="15" thickBot="1" x14ac:dyDescent="0.35">
      <c r="A12" s="32" t="s">
        <v>5</v>
      </c>
      <c r="B12" s="33"/>
      <c r="C12" s="33"/>
      <c r="D12" s="34"/>
      <c r="E12" s="35">
        <v>6</v>
      </c>
      <c r="F12" s="36"/>
      <c r="G12" s="8" t="s">
        <v>45</v>
      </c>
    </row>
    <row r="13" spans="1:15" ht="15" thickBot="1" x14ac:dyDescent="0.35">
      <c r="A13" s="40" t="s">
        <v>6</v>
      </c>
      <c r="B13" s="41"/>
      <c r="C13" s="41"/>
      <c r="D13" s="42"/>
      <c r="E13" s="46">
        <f ca="1">Q30</f>
        <v>7.6205336093902591</v>
      </c>
      <c r="F13" s="47"/>
      <c r="G13" s="1" t="s">
        <v>7</v>
      </c>
    </row>
    <row r="14" spans="1:15" ht="15" thickBot="1" x14ac:dyDescent="0.35">
      <c r="A14" s="9" t="s">
        <v>8</v>
      </c>
      <c r="D14" s="10"/>
      <c r="E14" s="43">
        <f>E6*(5*E12)/100</f>
        <v>2256</v>
      </c>
      <c r="F14" s="44"/>
      <c r="G14" s="1" t="s">
        <v>9</v>
      </c>
    </row>
    <row r="15" spans="1:15" ht="15" thickBot="1" x14ac:dyDescent="0.35">
      <c r="A15" s="40" t="s">
        <v>10</v>
      </c>
      <c r="B15" s="41"/>
      <c r="C15" s="41"/>
      <c r="D15" s="42"/>
      <c r="E15" s="43">
        <f ca="1">F30+H30</f>
        <v>5996.04</v>
      </c>
      <c r="F15" s="45"/>
    </row>
    <row r="16" spans="1:15" ht="15" thickBot="1" x14ac:dyDescent="0.35">
      <c r="A16" s="40" t="s">
        <v>11</v>
      </c>
      <c r="B16" s="41"/>
      <c r="C16" s="41"/>
      <c r="D16" s="42"/>
      <c r="E16" s="43">
        <f ca="1">R30</f>
        <v>15772.04</v>
      </c>
      <c r="F16" s="45"/>
      <c r="G16" s="1" t="s">
        <v>7</v>
      </c>
    </row>
    <row r="17" spans="1:23" ht="14.25" customHeight="1" x14ac:dyDescent="0.3"/>
    <row r="18" spans="1:23" ht="15.6" x14ac:dyDescent="0.3">
      <c r="A18" s="37" t="s">
        <v>12</v>
      </c>
      <c r="B18" s="27" t="s">
        <v>13</v>
      </c>
      <c r="C18" s="27" t="s">
        <v>14</v>
      </c>
      <c r="D18" s="27" t="s">
        <v>15</v>
      </c>
      <c r="E18" s="39" t="s">
        <v>16</v>
      </c>
      <c r="F18" s="39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4" t="s">
        <v>17</v>
      </c>
      <c r="R18" s="24" t="s">
        <v>11</v>
      </c>
    </row>
    <row r="19" spans="1:23" ht="15.75" customHeight="1" x14ac:dyDescent="0.3">
      <c r="A19" s="38"/>
      <c r="B19" s="24"/>
      <c r="C19" s="24"/>
      <c r="D19" s="24"/>
      <c r="E19" s="25" t="s">
        <v>18</v>
      </c>
      <c r="F19" s="24" t="s">
        <v>19</v>
      </c>
      <c r="G19" s="28" t="s">
        <v>35</v>
      </c>
      <c r="H19" s="28"/>
      <c r="I19" s="28"/>
      <c r="J19" s="28"/>
      <c r="K19" s="28"/>
      <c r="L19" s="28"/>
      <c r="M19" s="28"/>
      <c r="N19" s="28"/>
      <c r="O19" s="28"/>
      <c r="P19" s="28"/>
      <c r="Q19" s="24"/>
      <c r="R19" s="24"/>
      <c r="W19" s="21">
        <v>3</v>
      </c>
    </row>
    <row r="20" spans="1:23" ht="15.75" customHeight="1" x14ac:dyDescent="0.3">
      <c r="A20" s="38"/>
      <c r="B20" s="24"/>
      <c r="C20" s="24"/>
      <c r="D20" s="24"/>
      <c r="E20" s="26"/>
      <c r="F20" s="24"/>
      <c r="G20" s="29" t="s">
        <v>20</v>
      </c>
      <c r="H20" s="30"/>
      <c r="I20" s="31"/>
      <c r="J20" s="29" t="s">
        <v>21</v>
      </c>
      <c r="K20" s="31"/>
      <c r="L20" s="29" t="s">
        <v>22</v>
      </c>
      <c r="M20" s="30"/>
      <c r="N20" s="30"/>
      <c r="O20" s="30"/>
      <c r="P20" s="31"/>
      <c r="Q20" s="24"/>
      <c r="R20" s="24"/>
      <c r="W20" s="21">
        <v>4</v>
      </c>
    </row>
    <row r="21" spans="1:23" ht="171.75" customHeight="1" x14ac:dyDescent="0.3">
      <c r="A21" s="38"/>
      <c r="B21" s="24"/>
      <c r="C21" s="24"/>
      <c r="D21" s="24"/>
      <c r="E21" s="27"/>
      <c r="F21" s="24"/>
      <c r="G21" s="12" t="s">
        <v>23</v>
      </c>
      <c r="H21" s="12" t="s">
        <v>24</v>
      </c>
      <c r="I21" s="12" t="s">
        <v>40</v>
      </c>
      <c r="J21" s="12" t="s">
        <v>25</v>
      </c>
      <c r="K21" s="12" t="s">
        <v>41</v>
      </c>
      <c r="L21" s="12" t="s">
        <v>26</v>
      </c>
      <c r="M21" s="12" t="s">
        <v>27</v>
      </c>
      <c r="N21" s="12" t="s">
        <v>28</v>
      </c>
      <c r="O21" s="12" t="s">
        <v>29</v>
      </c>
      <c r="P21" s="12" t="s">
        <v>42</v>
      </c>
      <c r="Q21" s="24"/>
      <c r="R21" s="24"/>
      <c r="W21" s="21">
        <v>5</v>
      </c>
    </row>
    <row r="22" spans="1:23" ht="15.6" x14ac:dyDescent="0.3">
      <c r="A22" s="11">
        <v>1</v>
      </c>
      <c r="B22" s="11">
        <v>2</v>
      </c>
      <c r="C22" s="11">
        <v>3</v>
      </c>
      <c r="D22" s="11">
        <v>4</v>
      </c>
      <c r="E22" s="11">
        <v>5</v>
      </c>
      <c r="F22" s="11">
        <v>6</v>
      </c>
      <c r="G22" s="11">
        <v>7</v>
      </c>
      <c r="H22" s="11">
        <v>8</v>
      </c>
      <c r="I22" s="11">
        <v>9</v>
      </c>
      <c r="J22" s="11">
        <v>10</v>
      </c>
      <c r="K22" s="11">
        <v>11</v>
      </c>
      <c r="L22" s="11">
        <v>12</v>
      </c>
      <c r="M22" s="11">
        <v>13</v>
      </c>
      <c r="N22" s="11">
        <v>14</v>
      </c>
      <c r="O22" s="11">
        <v>15</v>
      </c>
      <c r="P22" s="11">
        <v>16</v>
      </c>
      <c r="Q22" s="11">
        <v>17</v>
      </c>
      <c r="R22" s="11">
        <v>18</v>
      </c>
      <c r="W22" s="21">
        <v>6</v>
      </c>
    </row>
    <row r="23" spans="1:23" ht="15.6" x14ac:dyDescent="0.3">
      <c r="A23" s="11">
        <v>1</v>
      </c>
      <c r="B23" s="13">
        <f ca="1">E$5</f>
        <v>46164</v>
      </c>
      <c r="C23" s="11" t="s">
        <v>30</v>
      </c>
      <c r="D23" s="14">
        <f>(E6)*-1</f>
        <v>-7520</v>
      </c>
      <c r="E23" s="14">
        <f>(E6+E14)*-1</f>
        <v>-9776</v>
      </c>
      <c r="F23" s="14" t="s">
        <v>30</v>
      </c>
      <c r="G23" s="11">
        <v>0</v>
      </c>
      <c r="H23" s="14">
        <f>E14</f>
        <v>2256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 t="s">
        <v>30</v>
      </c>
      <c r="R23" s="11" t="s">
        <v>30</v>
      </c>
      <c r="T23" s="22"/>
    </row>
    <row r="24" spans="1:23" ht="15.6" x14ac:dyDescent="0.3">
      <c r="A24" s="11">
        <v>2</v>
      </c>
      <c r="B24" s="13">
        <f ca="1">EDATE( B$23,A23)</f>
        <v>46195</v>
      </c>
      <c r="C24" s="11">
        <f ca="1">B24-B23</f>
        <v>31</v>
      </c>
      <c r="D24" s="15">
        <f ca="1">SUM(E24:H24)</f>
        <v>2252.5410132607904</v>
      </c>
      <c r="E24" s="15">
        <f ca="1">E$11-F24</f>
        <v>1252.4810132607904</v>
      </c>
      <c r="F24" s="15">
        <f ca="1">T$24*C$24</f>
        <v>1000.06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 t="s">
        <v>30</v>
      </c>
      <c r="R24" s="11" t="s">
        <v>30</v>
      </c>
      <c r="T24" s="22">
        <f>ROUND((SUM(E$23:E23)*-1)*E$9/100,2)</f>
        <v>32.26</v>
      </c>
      <c r="U24" s="22"/>
    </row>
    <row r="25" spans="1:23" ht="15.6" x14ac:dyDescent="0.3">
      <c r="A25" s="11">
        <v>3</v>
      </c>
      <c r="B25" s="13">
        <f ca="1">EDATE( B$23,A24)</f>
        <v>46225</v>
      </c>
      <c r="C25" s="11">
        <f ca="1">IF(SUM(C$24:C24)&gt;=E$7,0, (B25-B24))</f>
        <v>30</v>
      </c>
      <c r="D25" s="15">
        <f t="shared" ref="D25:D29" ca="1" si="0">SUM(E25:H25)</f>
        <v>2252.5410132607904</v>
      </c>
      <c r="E25" s="15">
        <f ca="1">IF(AND(SUM(E$23:E24)*-1&gt;SUM(E$11,-F25),A25-1&lt;E$12),SUM(E$11,-F25), (SUM(E$23:E24)*-1))</f>
        <v>1408.6410132607903</v>
      </c>
      <c r="F25" s="15">
        <f ca="1">T$25*C$25</f>
        <v>843.9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 t="s">
        <v>30</v>
      </c>
      <c r="R25" s="11" t="s">
        <v>30</v>
      </c>
      <c r="T25" s="22">
        <f ca="1">ROUND((SUM(E$23:E24)*-1)*E$9/100,2)</f>
        <v>28.13</v>
      </c>
      <c r="U25" s="22"/>
    </row>
    <row r="26" spans="1:23" ht="15.6" x14ac:dyDescent="0.3">
      <c r="A26" s="11">
        <v>4</v>
      </c>
      <c r="B26" s="13">
        <f t="shared" ref="B26:B29" ca="1" si="1">EDATE( B$23,A25)</f>
        <v>46256</v>
      </c>
      <c r="C26" s="11">
        <f ca="1">IF(SUM(C$24:C25)&gt;=E$7,0, (B26-B25))</f>
        <v>31</v>
      </c>
      <c r="D26" s="15">
        <f t="shared" ca="1" si="0"/>
        <v>2252.5410132607904</v>
      </c>
      <c r="E26" s="15">
        <f ca="1">IF(AND(SUM(E$23:E25)*-1&gt;SUM(E$11,-F26),A26-1&lt;E$12),SUM(E$11,-F26), (SUM(E$23:E25)*-1))</f>
        <v>1524.6610132607902</v>
      </c>
      <c r="F26" s="15">
        <f ca="1">T$26*C$26</f>
        <v>727.88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 t="s">
        <v>30</v>
      </c>
      <c r="R26" s="11" t="s">
        <v>30</v>
      </c>
      <c r="T26" s="22">
        <f ca="1">ROUND((SUM(E$23:E25)*-1)*E$9/100,2)</f>
        <v>23.48</v>
      </c>
      <c r="U26" s="22"/>
    </row>
    <row r="27" spans="1:23" ht="15.6" x14ac:dyDescent="0.3">
      <c r="A27" s="11">
        <v>5</v>
      </c>
      <c r="B27" s="13">
        <f t="shared" ca="1" si="1"/>
        <v>46287</v>
      </c>
      <c r="C27" s="11">
        <f ca="1">IF(SUM(C$24:C26)&gt;=E$7,0, (B27-B26))</f>
        <v>31</v>
      </c>
      <c r="D27" s="15">
        <f t="shared" ca="1" si="0"/>
        <v>2252.5410132607904</v>
      </c>
      <c r="E27" s="15">
        <f ca="1">IF(AND(SUM(E$23:E26)*-1&gt;SUM(E$11,-F27),A27-1&lt;E$12),SUM(E$11,-F27), (SUM(E$23:E26)*-1))</f>
        <v>1680.5910132607905</v>
      </c>
      <c r="F27" s="15">
        <f ca="1">T$27*C$27</f>
        <v>571.94999999999993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 t="s">
        <v>30</v>
      </c>
      <c r="R27" s="11" t="s">
        <v>30</v>
      </c>
      <c r="T27" s="22">
        <f ca="1">ROUND((SUM(E$23:E26)*-1)*E$9/100,2)</f>
        <v>18.45</v>
      </c>
      <c r="U27" s="22"/>
    </row>
    <row r="28" spans="1:23" ht="15.6" x14ac:dyDescent="0.3">
      <c r="A28" s="11">
        <v>6</v>
      </c>
      <c r="B28" s="13">
        <f t="shared" ca="1" si="1"/>
        <v>46317</v>
      </c>
      <c r="C28" s="11">
        <f ca="1">IF(SUM(C$24:C27)&gt;=E$7,0, (B28-B27))</f>
        <v>30</v>
      </c>
      <c r="D28" s="15">
        <f t="shared" ca="1" si="0"/>
        <v>2252.5410132607904</v>
      </c>
      <c r="E28" s="15">
        <f ca="1">IF(AND(SUM(E$23:E27)*-1&gt;SUM(E$11,-F28),A28-1&lt;E$12),SUM(E$11,-F28), (SUM(E$23:E27)*-1))</f>
        <v>1865.5410132607904</v>
      </c>
      <c r="F28" s="15">
        <f ca="1">T$28*C$28</f>
        <v>387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 t="s">
        <v>30</v>
      </c>
      <c r="R28" s="11" t="s">
        <v>30</v>
      </c>
      <c r="T28" s="22">
        <f ca="1">ROUND((SUM(E$23:E27)*-1)*E$9/100,2)</f>
        <v>12.9</v>
      </c>
      <c r="U28" s="22"/>
    </row>
    <row r="29" spans="1:23" ht="15.6" x14ac:dyDescent="0.3">
      <c r="A29" s="11">
        <v>7</v>
      </c>
      <c r="B29" s="13">
        <f t="shared" ca="1" si="1"/>
        <v>46348</v>
      </c>
      <c r="C29" s="11">
        <f ca="1">IF(SUM(C$24:C28)&gt;=E$7,0, (B29-B28))</f>
        <v>31</v>
      </c>
      <c r="D29" s="15">
        <f t="shared" ca="1" si="0"/>
        <v>2253.3349336960473</v>
      </c>
      <c r="E29" s="15">
        <f ca="1">IF(AND(SUM(E$23:E28)*-1&gt;SUM(E$11,-F29),A29-1&lt;E$12),SUM(E$11,-F29), (SUM(E$23:E28)*-1))</f>
        <v>2044.0849336960473</v>
      </c>
      <c r="F29" s="15">
        <f ca="1">T$29*C$29</f>
        <v>209.25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 t="s">
        <v>30</v>
      </c>
      <c r="R29" s="11" t="s">
        <v>30</v>
      </c>
      <c r="T29" s="22">
        <f ca="1">ROUND((SUM(E$23:E28)*-1)*E$9/100,2)</f>
        <v>6.75</v>
      </c>
      <c r="U29" s="22"/>
    </row>
    <row r="30" spans="1:23" ht="15.6" x14ac:dyDescent="0.3">
      <c r="A30" s="16" t="s">
        <v>31</v>
      </c>
      <c r="B30" s="11" t="s">
        <v>30</v>
      </c>
      <c r="C30" s="11">
        <f ca="1">SUM(C24:C29)</f>
        <v>184</v>
      </c>
      <c r="D30" s="17">
        <f ca="1">SUM(E30:F30)</f>
        <v>13516.04</v>
      </c>
      <c r="E30" s="18">
        <f ca="1">SUM(E24:E29)</f>
        <v>9776</v>
      </c>
      <c r="F30" s="14">
        <f ca="1">SUM(F24:F29)</f>
        <v>3740.04</v>
      </c>
      <c r="G30" s="11">
        <v>0</v>
      </c>
      <c r="H30" s="14">
        <f>SUM(H23:H29)</f>
        <v>2256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9">
        <f ca="1">XIRR(D23:D29,B23:B29)</f>
        <v>7.6205336093902591</v>
      </c>
      <c r="R30" s="14">
        <f ca="1">E30+F30+H30</f>
        <v>15772.04</v>
      </c>
    </row>
    <row r="33" spans="2:21" ht="14.4" customHeight="1" x14ac:dyDescent="0.3">
      <c r="B33" s="1" t="s">
        <v>32</v>
      </c>
    </row>
    <row r="34" spans="2:21" x14ac:dyDescent="0.3">
      <c r="B34" s="1" t="s">
        <v>33</v>
      </c>
      <c r="U34" s="23"/>
    </row>
    <row r="35" spans="2:21" x14ac:dyDescent="0.3">
      <c r="B35" s="1" t="s">
        <v>34</v>
      </c>
      <c r="G35" s="20"/>
      <c r="U35" s="23"/>
    </row>
    <row r="36" spans="2:21" x14ac:dyDescent="0.3">
      <c r="U36" s="23"/>
    </row>
    <row r="37" spans="2:21" x14ac:dyDescent="0.3">
      <c r="U37" s="23"/>
    </row>
    <row r="38" spans="2:21" x14ac:dyDescent="0.3">
      <c r="U38" s="23"/>
    </row>
    <row r="39" spans="2:21" x14ac:dyDescent="0.3">
      <c r="U39" s="23"/>
    </row>
    <row r="40" spans="2:21" x14ac:dyDescent="0.3">
      <c r="U40" s="23"/>
    </row>
    <row r="41" spans="2:21" x14ac:dyDescent="0.3">
      <c r="U41" s="23"/>
    </row>
    <row r="43" spans="2:21" ht="14.25" customHeight="1" x14ac:dyDescent="0.3"/>
    <row r="44" spans="2:21" ht="14.25" customHeight="1" x14ac:dyDescent="0.3">
      <c r="U44" s="23"/>
    </row>
    <row r="45" spans="2:21" ht="14.25" customHeight="1" x14ac:dyDescent="0.3">
      <c r="U45" s="23"/>
    </row>
    <row r="46" spans="2:21" ht="14.25" customHeight="1" x14ac:dyDescent="0.3">
      <c r="U46" s="23"/>
    </row>
    <row r="47" spans="2:21" x14ac:dyDescent="0.3">
      <c r="U47" s="23"/>
    </row>
    <row r="48" spans="2:21" x14ac:dyDescent="0.3">
      <c r="U48" s="23"/>
    </row>
    <row r="49" spans="21:46" x14ac:dyDescent="0.3">
      <c r="U49" s="23"/>
    </row>
    <row r="50" spans="21:46" x14ac:dyDescent="0.3">
      <c r="U50" s="23"/>
    </row>
    <row r="51" spans="21:46" x14ac:dyDescent="0.3">
      <c r="U51" s="23"/>
      <c r="AS51" s="20"/>
    </row>
    <row r="52" spans="21:46" x14ac:dyDescent="0.3">
      <c r="U52" s="23"/>
    </row>
    <row r="53" spans="21:46" x14ac:dyDescent="0.3">
      <c r="U53" s="23"/>
      <c r="AS53" s="20"/>
      <c r="AT53" s="20"/>
    </row>
    <row r="54" spans="21:46" x14ac:dyDescent="0.3">
      <c r="AS54" s="1" t="s">
        <v>0</v>
      </c>
    </row>
  </sheetData>
  <sheetProtection algorithmName="SHA-512" hashValue="BWDmOEvsjKjGyikR8KfAzjekJ1yTMP75OLEt4Xu7VDm/uIOAfFTqeUsONn4nL/NLdjm3TfqG+S05Cw6JT4/anA==" saltValue="ef/GC3MJ7Rpb2F6SLbBXEw==" spinCount="100000" sheet="1" objects="1" scenarios="1"/>
  <mergeCells count="38">
    <mergeCell ref="A7:D7"/>
    <mergeCell ref="E7:F7"/>
    <mergeCell ref="A8:D8"/>
    <mergeCell ref="E8:F8"/>
    <mergeCell ref="G8:O8"/>
    <mergeCell ref="A2:E3"/>
    <mergeCell ref="A5:D5"/>
    <mergeCell ref="E5:F5"/>
    <mergeCell ref="A6:D6"/>
    <mergeCell ref="E6:F6"/>
    <mergeCell ref="A10:D10"/>
    <mergeCell ref="E10:F10"/>
    <mergeCell ref="A11:D11"/>
    <mergeCell ref="E11:F11"/>
    <mergeCell ref="A9:D9"/>
    <mergeCell ref="E9:F9"/>
    <mergeCell ref="A12:D12"/>
    <mergeCell ref="E12:F12"/>
    <mergeCell ref="A18:A21"/>
    <mergeCell ref="B18:B21"/>
    <mergeCell ref="C18:C21"/>
    <mergeCell ref="D18:D21"/>
    <mergeCell ref="E18:P18"/>
    <mergeCell ref="A13:D13"/>
    <mergeCell ref="E14:F14"/>
    <mergeCell ref="E15:F15"/>
    <mergeCell ref="E16:F16"/>
    <mergeCell ref="A15:D15"/>
    <mergeCell ref="A16:D16"/>
    <mergeCell ref="E13:F13"/>
    <mergeCell ref="R18:R21"/>
    <mergeCell ref="E19:E21"/>
    <mergeCell ref="F19:F21"/>
    <mergeCell ref="G19:P19"/>
    <mergeCell ref="G20:I20"/>
    <mergeCell ref="J20:K20"/>
    <mergeCell ref="L20:P20"/>
    <mergeCell ref="Q18:Q21"/>
  </mergeCells>
  <dataValidations count="1">
    <dataValidation type="list" allowBlank="1" showInputMessage="1" showErrorMessage="1" sqref="E12:F12" xr:uid="{E9152D1F-B109-420A-BBF4-655B8C15BFB2}">
      <formula1>$W$19:$W$22</formula1>
    </dataValidation>
  </dataValidations>
  <pageMargins left="1.085" right="0.7" top="0.75" bottom="0.75" header="0.3" footer="0.3"/>
  <pageSetup scale="38" orientation="portrait" r:id="rId1"/>
  <colBreaks count="1" manualBreakCount="1">
    <brk id="1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Url xmlns="21333a38-5fdf-4332-94ba-227ae1f7101c">
      <Url>https://moneyveo365.sharepoint.com/sites/tech/_layouts/15/DocIdRedir.aspx?ID=CUR5D66P6XMW-665771131-1871</Url>
      <Description>CUR5D66P6XMW-665771131-1871</Description>
    </_dlc_DocIdUrl>
    <TaxCatchAll xmlns="21333a38-5fdf-4332-94ba-227ae1f7101c" xsi:nil="true"/>
    <_dlc_DocIdPersistId xmlns="21333a38-5fdf-4332-94ba-227ae1f7101c" xsi:nil="true"/>
    <Jira xmlns="f2ef437c-6472-4d9e-a12e-68b0ffb1adc4">
      <Url xsi:nil="true"/>
      <Description xsi:nil="true"/>
    </Jira>
    <Bitrix xmlns="f2ef437c-6472-4d9e-a12e-68b0ffb1adc4">
      <Url xsi:nil="true"/>
      <Description xsi:nil="true"/>
    </Bitrix>
    <lcf76f155ced4ddcb4097134ff3c332f xmlns="f2ef437c-6472-4d9e-a12e-68b0ffb1adc4">
      <Terms xmlns="http://schemas.microsoft.com/office/infopath/2007/PartnerControls"/>
    </lcf76f155ced4ddcb4097134ff3c332f>
    <_dlc_DocId xmlns="21333a38-5fdf-4332-94ba-227ae1f7101c">CUR5D66P6XMW-665771131-1871</_dlc_DocId>
    <Status xmlns="f2ef437c-6472-4d9e-a12e-68b0ffb1adc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6E651EEB4F074C8E5495DBCD96D442" ma:contentTypeVersion="18" ma:contentTypeDescription="Create a new document." ma:contentTypeScope="" ma:versionID="744ce45e3c06ad5ee8e4d35ce6f59b70">
  <xsd:schema xmlns:xsd="http://www.w3.org/2001/XMLSchema" xmlns:xs="http://www.w3.org/2001/XMLSchema" xmlns:p="http://schemas.microsoft.com/office/2006/metadata/properties" xmlns:ns2="f2ef437c-6472-4d9e-a12e-68b0ffb1adc4" xmlns:ns3="21333a38-5fdf-4332-94ba-227ae1f7101c" targetNamespace="http://schemas.microsoft.com/office/2006/metadata/properties" ma:root="true" ma:fieldsID="9ec49e04525343693e5479e76c1d1fa0" ns2:_="" ns3:_="">
    <xsd:import namespace="f2ef437c-6472-4d9e-a12e-68b0ffb1adc4"/>
    <xsd:import namespace="21333a38-5fdf-4332-94ba-227ae1f7101c"/>
    <xsd:element name="properties">
      <xsd:complexType>
        <xsd:sequence>
          <xsd:element name="documentManagement">
            <xsd:complexType>
              <xsd:all>
                <xsd:element ref="ns2:Jira" minOccurs="0"/>
                <xsd:element ref="ns2:Bitrix" minOccurs="0"/>
                <xsd:element ref="ns3:_dlc_DocIdUrl" minOccurs="0"/>
                <xsd:element ref="ns2:Status" minOccurs="0"/>
                <xsd:element ref="ns3:_dlc_DocId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ef437c-6472-4d9e-a12e-68b0ffb1adc4" elementFormDefault="qualified">
    <xsd:import namespace="http://schemas.microsoft.com/office/2006/documentManagement/types"/>
    <xsd:import namespace="http://schemas.microsoft.com/office/infopath/2007/PartnerControls"/>
    <xsd:element name="Jira" ma:index="2" nillable="true" ma:displayName="Jira" ma:format="Hyperlink" ma:internalName="Jira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itrix" ma:index="3" nillable="true" ma:displayName="Bitrix" ma:format="Hyperlink" ma:internalName="Bitrix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tatus" ma:index="5" nillable="true" ma:displayName="Status" ma:format="Dropdown" ma:internalName="Status" ma:readOnly="false">
      <xsd:simpleType>
        <xsd:restriction base="dms:Choice">
          <xsd:enumeration value="in work"/>
          <xsd:enumeration value="finished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34d6ea9-f3e1-4e1c-a844-28b0c9998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333a38-5fdf-4332-94ba-227ae1f7101c" elementFormDefault="qualified">
    <xsd:import namespace="http://schemas.microsoft.com/office/2006/documentManagement/types"/>
    <xsd:import namespace="http://schemas.microsoft.com/office/infopath/2007/PartnerControls"/>
    <xsd:element name="_dlc_DocIdUrl" ma:index="4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hidden="true" ma:internalName="_dlc_DocId" ma:readOnly="false">
      <xsd:simpleType>
        <xsd:restriction base="dms:Text"/>
      </xsd:simpleType>
    </xsd:element>
    <xsd:element name="_dlc_DocIdPersistId" ma:index="12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SharedWithUsers" ma:index="1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6" nillable="true" ma:displayName="Taxonomy Catch All Column" ma:hidden="true" ma:list="{107ccdbe-ea0f-4219-bb7f-c781b0d056b8}" ma:internalName="TaxCatchAll" ma:showField="CatchAllData" ma:web="21333a38-5fdf-4332-94ba-227ae1f71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70D78F-71C9-44AB-A8B5-BB9ABCA4BF6B}">
  <ds:schemaRefs>
    <ds:schemaRef ds:uri="http://schemas.openxmlformats.org/package/2006/metadata/core-properties"/>
    <ds:schemaRef ds:uri="http://www.w3.org/XML/1998/namespace"/>
    <ds:schemaRef ds:uri="f2ef437c-6472-4d9e-a12e-68b0ffb1adc4"/>
    <ds:schemaRef ds:uri="21333a38-5fdf-4332-94ba-227ae1f7101c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81ED12F-00D3-47FA-8D18-987FDE385A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ef437c-6472-4d9e-a12e-68b0ffb1adc4"/>
    <ds:schemaRef ds:uri="21333a38-5fdf-4332-94ba-227ae1f710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C1F282-9375-427C-8FFF-6B38197E4B5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861B208-1348-42A1-962A-D9709AE202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Калькулятор</vt:lpstr>
      <vt:lpstr>Калькулятор!Область_печати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 Ostapchyuk</dc:creator>
  <cp:keywords/>
  <dc:description/>
  <cp:lastModifiedBy>Ivan Tarantaiev</cp:lastModifiedBy>
  <cp:revision/>
  <cp:lastPrinted>2026-05-22T09:10:45Z</cp:lastPrinted>
  <dcterms:created xsi:type="dcterms:W3CDTF">2022-01-12T17:50:19Z</dcterms:created>
  <dcterms:modified xsi:type="dcterms:W3CDTF">2026-05-22T09:10:55Z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0x010100E66E651EEB4F074C8E5495DBCD96D442</vt:lpwstr>
  </property>
  <property fmtid="{D5CDD505-2E9C-101B-9397-08002B2CF9AE}" pid="3" name="_dlc_DocIdItemGuid">
    <vt:lpwstr>3200c549-02a5-41df-99ca-4ff81b8cba91</vt:lpwstr>
  </property>
  <property fmtid="{D5CDD505-2E9C-101B-9397-08002B2CF9AE}" pid="4" name="MediaServiceImageTags">
    <vt:lpwstr/>
  </property>
</Properties>
</file>